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40" yWindow="0" windowWidth="20730" windowHeight="11760" activeTab="4"/>
  </bookViews>
  <sheets>
    <sheet name="Exercise 1" sheetId="7" r:id="rId1"/>
    <sheet name="Exercise 2" sheetId="2" r:id="rId2"/>
    <sheet name="Exercise 3" sheetId="5" r:id="rId3"/>
    <sheet name="Exercise 4" sheetId="6" r:id="rId4"/>
    <sheet name="Exercise 5" sheetId="3" r:id="rId5"/>
  </sheets>
  <calcPr calcId="179021"/>
</workbook>
</file>

<file path=xl/calcChain.xml><?xml version="1.0" encoding="utf-8"?>
<calcChain xmlns="http://schemas.openxmlformats.org/spreadsheetml/2006/main">
  <c r="E22" i="3" l="1"/>
  <c r="D22" i="3"/>
  <c r="E21" i="3"/>
  <c r="E19" i="3"/>
  <c r="E18" i="3"/>
  <c r="E17" i="3"/>
  <c r="B6" i="3" l="1"/>
  <c r="E21" i="6"/>
  <c r="C21" i="6"/>
  <c r="C24" i="6"/>
  <c r="D23" i="6"/>
  <c r="E22" i="6"/>
  <c r="E23" i="6" s="1"/>
  <c r="E25" i="6" s="1"/>
  <c r="D22" i="6"/>
  <c r="G11" i="5"/>
  <c r="G10" i="5"/>
  <c r="G9" i="5"/>
  <c r="G6" i="5"/>
  <c r="G8" i="5"/>
  <c r="G7" i="5"/>
  <c r="F17" i="5"/>
  <c r="D18" i="5"/>
  <c r="D17" i="5"/>
  <c r="C22" i="6" l="1"/>
  <c r="C23" i="6"/>
  <c r="D25" i="6"/>
  <c r="C25" i="6" s="1"/>
  <c r="I13" i="7"/>
  <c r="I12" i="7"/>
  <c r="I14" i="7"/>
  <c r="D15" i="7"/>
  <c r="C13" i="7"/>
  <c r="I11" i="7"/>
  <c r="D11" i="7"/>
  <c r="I8" i="7"/>
  <c r="I7" i="7"/>
  <c r="C10" i="6" l="1"/>
  <c r="F8" i="6"/>
  <c r="F9" i="6" s="1"/>
  <c r="F11" i="6" s="1"/>
  <c r="E8" i="6"/>
  <c r="E9" i="6" s="1"/>
  <c r="E11" i="6" s="1"/>
  <c r="D8" i="6"/>
  <c r="C7" i="6"/>
  <c r="D12" i="5"/>
  <c r="C8" i="6" l="1"/>
  <c r="D9" i="6"/>
  <c r="C9" i="6" l="1"/>
  <c r="D11" i="6"/>
  <c r="C11" i="6" s="1"/>
</calcChain>
</file>

<file path=xl/comments1.xml><?xml version="1.0" encoding="utf-8"?>
<comments xmlns="http://schemas.openxmlformats.org/spreadsheetml/2006/main">
  <authors>
    <author>Larry Walther</author>
  </authors>
  <commentList>
    <comment ref="C3" authorId="0">
      <text>
        <r>
          <rPr>
            <b/>
            <sz val="20"/>
            <color indexed="81"/>
            <rFont val="Myriad Web Pro"/>
          </rPr>
          <t>B-24.03</t>
        </r>
      </text>
    </comment>
  </commentList>
</comments>
</file>

<file path=xl/comments2.xml><?xml version="1.0" encoding="utf-8"?>
<comments xmlns="http://schemas.openxmlformats.org/spreadsheetml/2006/main">
  <authors>
    <author>Larry Walther</author>
  </authors>
  <commentList>
    <comment ref="B4" authorId="0">
      <text>
        <r>
          <rPr>
            <b/>
            <sz val="20"/>
            <color indexed="81"/>
            <rFont val="Myriad Web Pro"/>
          </rPr>
          <t>B-24.04</t>
        </r>
      </text>
    </comment>
  </commentList>
</comments>
</file>

<file path=xl/comments3.xml><?xml version="1.0" encoding="utf-8"?>
<comments xmlns="http://schemas.openxmlformats.org/spreadsheetml/2006/main">
  <authors>
    <author>Larry Walther</author>
  </authors>
  <commentList>
    <comment ref="B4" authorId="0">
      <text>
        <r>
          <rPr>
            <b/>
            <sz val="20"/>
            <color indexed="81"/>
            <rFont val="Myriad Web Pro"/>
          </rPr>
          <t>B-24.09</t>
        </r>
      </text>
    </comment>
    <comment ref="B8" authorId="0">
      <text>
        <r>
          <rPr>
            <b/>
            <sz val="20"/>
            <color indexed="81"/>
            <rFont val="Myriad Web Pro"/>
          </rPr>
          <t>B-24.02</t>
        </r>
      </text>
    </comment>
  </commentList>
</comments>
</file>

<file path=xl/sharedStrings.xml><?xml version="1.0" encoding="utf-8"?>
<sst xmlns="http://schemas.openxmlformats.org/spreadsheetml/2006/main" count="142" uniqueCount="104">
  <si>
    <t>Direct materials</t>
  </si>
  <si>
    <t>Direct labor</t>
  </si>
  <si>
    <t>Exercise 2</t>
  </si>
  <si>
    <t>Total</t>
  </si>
  <si>
    <t>Exercise #3</t>
  </si>
  <si>
    <t>Exercise 5</t>
  </si>
  <si>
    <t>Exercise 4</t>
  </si>
  <si>
    <t>ACCT 301 Week 7 HW</t>
  </si>
  <si>
    <t>Exercise 1</t>
  </si>
  <si>
    <t>$34,950 = total monthly fixed costs</t>
  </si>
  <si>
    <t>$250 = selling price of one chair</t>
  </si>
  <si>
    <t>600 = expected number of chairs to be sold this month</t>
  </si>
  <si>
    <t>Currently, Rustic chairs are selling chairs for $250. Let's summarize what we know so far:</t>
  </si>
  <si>
    <t>$60,600 = total monthly variable costs</t>
  </si>
  <si>
    <t>What are the variable costs per unit?</t>
  </si>
  <si>
    <t>How many chairs do we sell toget net income of $10,500</t>
  </si>
  <si>
    <t>What is the beakeven point in sales dollars? In units?</t>
  </si>
  <si>
    <t>Round to the nearest dollar and unit</t>
  </si>
  <si>
    <t>True Flight Golf manufacturers a popular shaft for golf clubs.  Its trade secret is a unique process for weaving high-tension wire into the center of the shaft such that energy is accumulated during the swing and released at impact.  A specialized machine costing $3,000,000 is utilized in the manufacturing process.  The machine has a 3-year life and no salvage value.  True Flight uses straight-line depreciation.  During the year, 25,000 shafts were produced, and the company was operating at full capacity.  $700,000 of wire was used during the year.</t>
  </si>
  <si>
    <t>Is machinery depreciation fixed or variable?  Is wire fixed or variable?</t>
  </si>
  <si>
    <t>A</t>
  </si>
  <si>
    <t>For the two noted cost items, how much was total variable cost and total fixed cost?</t>
  </si>
  <si>
    <t>For the two noted cost items, how much was variable cost per unit and how much was fixed cost per unit?</t>
  </si>
  <si>
    <t xml:space="preserve">Repeat requirements (b) and (c), assuming production was only 20,000 units </t>
  </si>
  <si>
    <t>B</t>
  </si>
  <si>
    <t>C</t>
  </si>
  <si>
    <t>D</t>
  </si>
  <si>
    <t xml:space="preserve">Summit Paintball Supply manufactures paintballs used by recreational gamers.  </t>
  </si>
  <si>
    <t>The cost of producing a box of 2,500 paintballs is as follows:</t>
  </si>
  <si>
    <t>Variable factory overhead</t>
  </si>
  <si>
    <t>Fixed factory overhead</t>
  </si>
  <si>
    <t>Variable selling, general, and administrative costs</t>
  </si>
  <si>
    <t>Fixed selling, general, and administrative costs</t>
  </si>
  <si>
    <t>What is the breakeven point in sales $</t>
  </si>
  <si>
    <t>Management has received a special order request for 100,000 boxes of "private label" paintballs.</t>
  </si>
  <si>
    <t>Should management accept the offer?</t>
  </si>
  <si>
    <t>Why?</t>
  </si>
  <si>
    <t>Sales per box</t>
  </si>
  <si>
    <t>Total cost per unit</t>
  </si>
  <si>
    <t>fixed</t>
  </si>
  <si>
    <t>total</t>
  </si>
  <si>
    <t>variable</t>
  </si>
  <si>
    <t>CMR</t>
  </si>
  <si>
    <t>Variable ratio</t>
  </si>
  <si>
    <t>The fixed factory overhead and fixed SG&amp;A cost is allocated based on an assumption that the business will produce 400,000 boxes of paintballs per year.</t>
  </si>
  <si>
    <t>What are the total fixed costs per year?</t>
  </si>
  <si>
    <t>NI</t>
  </si>
  <si>
    <t>Break even and special order</t>
  </si>
  <si>
    <t xml:space="preserve">The order specifies a per box price of $75. </t>
  </si>
  <si>
    <t>Air Mall produces a catalog that is placed in airline seatbacks during international flights.  Passengers typically skim the catalog during flights and can buy selected merchandise from flight attendants, duty and tax free, while over international waters.  Below is a report for a recent period:</t>
  </si>
  <si>
    <t>Beverages</t>
  </si>
  <si>
    <t xml:space="preserve">Jewelry </t>
  </si>
  <si>
    <t>Electronics</t>
  </si>
  <si>
    <t xml:space="preserve">Sales  </t>
  </si>
  <si>
    <t>Variable expenses</t>
  </si>
  <si>
    <t>Contribution margin</t>
  </si>
  <si>
    <t>Fixed expenses</t>
  </si>
  <si>
    <t>Income (loss)</t>
  </si>
  <si>
    <t>The fixed expense is the amount paid for printing the catalog and paying the airline to include the item in seatbacks.  Management is evaluating discontinuing the sale of electronics products.  Fixed costs will not change; however, jewelry sales are  expected to increase by 30%.</t>
  </si>
  <si>
    <t>Determine if overall income will be improved if the sale of electronics products is ceased.</t>
  </si>
  <si>
    <t>Show supporting calculations</t>
  </si>
  <si>
    <t>Eliminate a division</t>
  </si>
  <si>
    <t>Nixon Harvesting is considering the purchase of a new  tractor.  The tractor costs $280,824, and has a 5-year life.  The company uses the straight-line depreciation method, and the tractor has no residual value.  The tractor will produce net cash inflows of $66,667 per year at the end of each year. For purposes of responding to each requirement below, you may assume no income taxes.</t>
  </si>
  <si>
    <t>Calculate the payback period for the tractor investment.</t>
  </si>
  <si>
    <t>Payback period</t>
  </si>
  <si>
    <t>Outsourcing</t>
  </si>
  <si>
    <t>Pure Comfort manufactures and sells mattresses with adjustable air chambers.  Pure Comfort has been producing and selling approximately 500,000 units per year.  Each units sells for $600, and there are no variable selling, general, or administrative costs.  The company has been approached by a foreign supplier who wishes to provide the air compressor component for $90 per unit.  Total annual manufacturing costs, including air compressors, is as follows:</t>
  </si>
  <si>
    <t>Part 2</t>
  </si>
  <si>
    <t>Part 1</t>
  </si>
  <si>
    <t>If Pure Comfort outsources the air compressor, it is expected that direct materials will be reduced by 20%, direct labor by 30%, and variable factory overhead by 25%.  There will be no reduction in fixed factory overhead.</t>
  </si>
  <si>
    <t>If outsourcing the air compressor will free up capacity, and enable Pure Comfort to increase production and sales to 600,000 units per year, would it make sense to outsource?</t>
  </si>
  <si>
    <t>Show computations</t>
  </si>
  <si>
    <t>Should Pure Comfort outsource the air compressor?    Show computations</t>
  </si>
  <si>
    <t>CVP  Cost Volume Profit</t>
  </si>
  <si>
    <t>percent</t>
  </si>
  <si>
    <t>unit</t>
  </si>
  <si>
    <t>CM per unit</t>
  </si>
  <si>
    <t>What are qualitative factors involved in the decision?</t>
  </si>
  <si>
    <t>Variable cost per unit</t>
  </si>
  <si>
    <t>breakeven</t>
  </si>
  <si>
    <t>units</t>
  </si>
  <si>
    <t>number of chairs to be sold</t>
  </si>
  <si>
    <t>machinery depreciation is fixed cost.</t>
  </si>
  <si>
    <t>wire is variable cost</t>
  </si>
  <si>
    <t>variable cost = 700000</t>
  </si>
  <si>
    <t xml:space="preserve">fixed cost = 3000000 </t>
  </si>
  <si>
    <t>variable cost per unit = $ 28</t>
  </si>
  <si>
    <t>fixed cost per unit  = $ 120</t>
  </si>
  <si>
    <t>Total variable cost = $ 560000</t>
  </si>
  <si>
    <t>Total fixed cost = $ 2400000</t>
  </si>
  <si>
    <t>total vatiable cost</t>
  </si>
  <si>
    <t>revenue</t>
  </si>
  <si>
    <t>cm</t>
  </si>
  <si>
    <t>CM RATIO</t>
  </si>
  <si>
    <t>The price to be charged if all factors remain the same is $ 56.25per box if the price of a box is set to be 75, the profit will be $ 18.75 accumulating to $ 1875000. This will increase the  contribution margin. Hence the firm should accept the offer.</t>
  </si>
  <si>
    <t>the overall income will improve by 145000</t>
  </si>
  <si>
    <t>years</t>
  </si>
  <si>
    <t>when producing</t>
  </si>
  <si>
    <t>when out sourcing</t>
  </si>
  <si>
    <t>out sourcing cost</t>
  </si>
  <si>
    <t>TOTAL</t>
  </si>
  <si>
    <t>The firm should outsource since the total production cost when outsourcing is less than when producing.</t>
  </si>
  <si>
    <t>the unit production cost will increase above pure production hence it does not make sence.</t>
  </si>
  <si>
    <t>The qualitative factors are production cost and contribution margin</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</si>
</sst>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_);_(* \(#,##0\);_(* &quot;-&quot;??_);_(@_)"/>
    <numFmt numFmtId="169" formatCode="_(&quot;$&quot;* #,##0_);_(&quot;$&quot;* \(#,##0\);_(&quot;$&quot;* &quot;-&quot;??_);_(@_)"/>
    <numFmt numFmtId="170" formatCode="0.0%"/>
    <numFmt numFmtId="171" formatCode="[$-409]dd\-mmm\-yy;@"/>
    <numFmt numFmtId="172" formatCode="_(&quot;$&quot;* #,##0.0_);_(&quot;$&quot;* \(#,##0.0\);_(&quot;$&quot;* &quot;-&quot;?_);_(@_)"/>
    <numFmt numFmtId="173" formatCode="_(* #,##0.0_);_(* \(#,##0.0\);_(* &quot;-&quot;?_);_(@_)"/>
  </numFmts>
  <fonts count="17">
    <font>
      <sz val="11"/>
      <color theme="1"/>
      <name val="Calibri"/>
      <family val="2"/>
      <scheme val="minor"/>
    </font>
    <font>
      <sz val="11"/>
      <color theme="1"/>
      <name val="Calibri"/>
      <family val="2"/>
      <scheme val="minor"/>
    </font>
    <font>
      <b/>
      <sz val="11"/>
      <color theme="1"/>
      <name val="Calibri"/>
      <family val="2"/>
      <scheme val="minor"/>
    </font>
    <font>
      <sz val="10"/>
      <name val="Myriad Web Pro"/>
    </font>
    <font>
      <b/>
      <sz val="20"/>
      <color indexed="81"/>
      <name val="Myriad Web Pro"/>
    </font>
    <font>
      <u val="singleAccounting"/>
      <sz val="11"/>
      <color theme="1"/>
      <name val="Calibri"/>
      <family val="2"/>
      <scheme val="minor"/>
    </font>
    <font>
      <sz val="10"/>
      <name val="Arial"/>
      <family val="2"/>
    </font>
    <font>
      <sz val="12"/>
      <color indexed="12"/>
      <name val="Arial"/>
      <family val="2"/>
    </font>
    <font>
      <b/>
      <sz val="10"/>
      <color indexed="9"/>
      <name val="Myriad Web Pro"/>
    </font>
    <font>
      <sz val="10"/>
      <color indexed="16"/>
      <name val="Myriad Web Pro"/>
    </font>
    <font>
      <sz val="10"/>
      <name val="Myriad Pro"/>
    </font>
    <font>
      <i/>
      <sz val="10"/>
      <name val="Myriad Web Pro"/>
    </font>
    <font>
      <sz val="12"/>
      <name val="Myriad Pro"/>
    </font>
    <font>
      <u val="singleAccounting"/>
      <sz val="10"/>
      <name val="Myriad Web Pro"/>
    </font>
    <font>
      <u val="doubleAccounting"/>
      <sz val="10"/>
      <name val="Myriad Web Pro"/>
    </font>
    <font>
      <sz val="11"/>
      <color theme="1"/>
      <name val="Cambria"/>
      <family val="1"/>
      <scheme val="major"/>
    </font>
    <font>
      <sz val="12"/>
      <name val="Cambria"/>
      <family val="1"/>
      <scheme val="major"/>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indexed="46"/>
        <bgColor indexed="64"/>
      </patternFill>
    </fill>
    <fill>
      <patternFill patternType="solid">
        <fgColor indexed="21"/>
        <bgColor indexed="64"/>
      </patternFill>
    </fill>
    <fill>
      <patternFill patternType="solid">
        <fgColor indexed="14"/>
        <bgColor indexed="64"/>
      </patternFill>
    </fill>
    <fill>
      <patternFill patternType="solid">
        <fgColor indexed="45"/>
        <bgColor indexed="64"/>
      </patternFill>
    </fill>
    <fill>
      <patternFill patternType="solid">
        <fgColor indexed="51"/>
        <bgColor indexed="64"/>
      </patternFill>
    </fill>
    <fill>
      <patternFill patternType="solid">
        <fgColor indexed="52"/>
        <bgColor indexed="64"/>
      </patternFill>
    </fill>
    <fill>
      <patternFill patternType="solid">
        <fgColor indexed="47"/>
        <bgColor indexed="64"/>
      </patternFill>
    </fill>
    <fill>
      <patternFill patternType="solid">
        <fgColor indexed="40"/>
        <bgColor indexed="64"/>
      </patternFill>
    </fill>
    <fill>
      <patternFill patternType="solid">
        <fgColor indexed="44"/>
        <bgColor indexed="64"/>
      </patternFill>
    </fill>
  </fills>
  <borders count="9">
    <border>
      <left/>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10"/>
      </left>
      <right style="thin">
        <color indexed="10"/>
      </right>
      <top style="thin">
        <color indexed="10"/>
      </top>
      <bottom style="thin">
        <color indexed="10"/>
      </bottom>
      <diagonal/>
    </border>
    <border>
      <left style="hair">
        <color indexed="64"/>
      </left>
      <right style="hair">
        <color indexed="64"/>
      </right>
      <top style="hair">
        <color indexed="64"/>
      </top>
      <bottom style="hair">
        <color indexed="64"/>
      </bottom>
      <diagonal/>
    </border>
    <border>
      <left style="thin">
        <color indexed="53"/>
      </left>
      <right style="thin">
        <color indexed="53"/>
      </right>
      <top style="thin">
        <color indexed="53"/>
      </top>
      <bottom style="thin">
        <color indexed="53"/>
      </bottom>
      <diagonal/>
    </border>
    <border>
      <left/>
      <right style="hair">
        <color indexed="53"/>
      </right>
      <top style="hair">
        <color indexed="53"/>
      </top>
      <bottom style="hair">
        <color indexed="53"/>
      </bottom>
      <diagonal/>
    </border>
    <border>
      <left/>
      <right style="thin">
        <color indexed="53"/>
      </right>
      <top/>
      <bottom style="thin">
        <color indexed="53"/>
      </bottom>
      <diagonal/>
    </border>
    <border>
      <left/>
      <right style="hair">
        <color indexed="53"/>
      </right>
      <top/>
      <bottom style="hair">
        <color indexed="53"/>
      </bottom>
      <diagonal/>
    </border>
  </borders>
  <cellStyleXfs count="27">
    <xf numFmtId="0" fontId="0" fillId="0" borderId="0"/>
    <xf numFmtId="167"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6" fillId="0" borderId="0"/>
    <xf numFmtId="0" fontId="3" fillId="5" borderId="0" applyNumberFormat="0" applyBorder="0" applyAlignment="0"/>
    <xf numFmtId="0" fontId="3" fillId="6" borderId="0"/>
    <xf numFmtId="0" fontId="8" fillId="6" borderId="0">
      <alignment horizontal="center" vertical="center"/>
    </xf>
    <xf numFmtId="3" fontId="3" fillId="7" borderId="1">
      <alignment horizontal="right" vertical="center" wrapText="1"/>
    </xf>
    <xf numFmtId="0" fontId="9" fillId="7" borderId="2">
      <alignment horizontal="left" vertical="center" wrapText="1"/>
    </xf>
    <xf numFmtId="0" fontId="9" fillId="7" borderId="0">
      <alignment horizontal="left" vertical="center" wrapText="1" indent="1"/>
    </xf>
    <xf numFmtId="3" fontId="10" fillId="7" borderId="3" applyNumberFormat="0" applyFont="0" applyAlignment="0">
      <alignment horizontal="center" vertical="center" wrapText="1"/>
    </xf>
    <xf numFmtId="16" fontId="3" fillId="7" borderId="0">
      <alignment horizontal="center" vertical="center" wrapText="1"/>
    </xf>
    <xf numFmtId="0" fontId="11" fillId="7" borderId="4">
      <alignment horizontal="justify" vertical="center" wrapText="1"/>
    </xf>
    <xf numFmtId="0" fontId="7" fillId="8" borderId="0" applyFont="0" applyAlignment="0">
      <alignment horizontal="center" vertical="center" wrapText="1"/>
    </xf>
    <xf numFmtId="0" fontId="8" fillId="8" borderId="3" applyAlignment="0">
      <alignment horizontal="center" vertical="center" wrapText="1"/>
    </xf>
    <xf numFmtId="171" fontId="12" fillId="9" borderId="5" applyNumberFormat="0" applyFont="0" applyFill="0" applyAlignment="0">
      <alignment horizontal="left" vertical="center" wrapText="1"/>
    </xf>
    <xf numFmtId="171" fontId="3" fillId="0" borderId="5" applyNumberFormat="0" applyFont="0" applyFill="0" applyAlignment="0">
      <alignment horizontal="center" vertical="center" wrapText="1"/>
    </xf>
    <xf numFmtId="171" fontId="3" fillId="10" borderId="6" applyNumberFormat="0" applyBorder="0" applyAlignment="0">
      <alignment horizontal="left" vertical="center" wrapText="1"/>
    </xf>
    <xf numFmtId="0" fontId="8" fillId="11" borderId="7" applyAlignment="0">
      <alignment vertical="center"/>
    </xf>
    <xf numFmtId="0" fontId="6" fillId="11" borderId="0">
      <alignment vertical="center"/>
    </xf>
    <xf numFmtId="171" fontId="3" fillId="9" borderId="8" applyNumberFormat="0" applyBorder="0" applyAlignment="0">
      <alignment horizontal="left" vertical="center" wrapText="1"/>
    </xf>
    <xf numFmtId="0" fontId="3" fillId="7" borderId="0" applyFill="0">
      <alignment horizontal="justify" vertical="top" wrapText="1"/>
    </xf>
    <xf numFmtId="0" fontId="9" fillId="0" borderId="0">
      <alignment horizontal="justify" vertical="top" wrapText="1"/>
    </xf>
    <xf numFmtId="0" fontId="12" fillId="0" borderId="0">
      <alignment horizontal="left" vertical="center" wrapText="1"/>
    </xf>
    <xf numFmtId="0" fontId="3" fillId="12" borderId="0" applyNumberFormat="0" applyAlignment="0">
      <alignment vertical="center"/>
    </xf>
    <xf numFmtId="0" fontId="8" fillId="13" borderId="0" applyNumberFormat="0" applyAlignment="0"/>
  </cellStyleXfs>
  <cellXfs count="64">
    <xf numFmtId="0" fontId="0" fillId="0" borderId="0" xfId="0"/>
    <xf numFmtId="0" fontId="0" fillId="0" borderId="0" xfId="0" applyAlignment="1">
      <alignment wrapText="1"/>
    </xf>
    <xf numFmtId="0" fontId="0" fillId="0" borderId="0" xfId="0" applyAlignment="1">
      <alignment horizontal="center"/>
    </xf>
    <xf numFmtId="0" fontId="0" fillId="2" borderId="0" xfId="0" applyFill="1"/>
    <xf numFmtId="0" fontId="0" fillId="4" borderId="0" xfId="0" applyFill="1"/>
    <xf numFmtId="168" fontId="0" fillId="2" borderId="0" xfId="0" applyNumberFormat="1" applyFill="1"/>
    <xf numFmtId="170" fontId="0" fillId="0" borderId="0" xfId="3" applyNumberFormat="1" applyFont="1"/>
    <xf numFmtId="166" fontId="0" fillId="0" borderId="0" xfId="0" applyNumberFormat="1"/>
    <xf numFmtId="169" fontId="5" fillId="0" borderId="0" xfId="0" applyNumberFormat="1" applyFont="1"/>
    <xf numFmtId="167" fontId="0" fillId="0" borderId="0" xfId="0" applyNumberFormat="1"/>
    <xf numFmtId="0" fontId="3" fillId="0" borderId="0" xfId="22" applyFill="1">
      <alignment horizontal="justify" vertical="top" wrapText="1"/>
    </xf>
    <xf numFmtId="168" fontId="5" fillId="0" borderId="0" xfId="1" applyNumberFormat="1" applyFont="1"/>
    <xf numFmtId="0" fontId="3" fillId="0" borderId="0" xfId="0" applyFont="1" applyAlignment="1">
      <alignment horizontal="left" vertical="center" wrapText="1" indent="1"/>
    </xf>
    <xf numFmtId="166" fontId="3" fillId="0" borderId="0" xfId="0" applyNumberFormat="1" applyFont="1" applyAlignment="1">
      <alignment horizontal="right" vertical="center" wrapText="1"/>
    </xf>
    <xf numFmtId="0" fontId="3" fillId="3" borderId="0" xfId="0" applyFont="1" applyFill="1" applyAlignment="1">
      <alignment horizontal="left" vertical="center" wrapText="1" indent="1"/>
    </xf>
    <xf numFmtId="166" fontId="0" fillId="3" borderId="0" xfId="0" applyNumberFormat="1" applyFill="1"/>
    <xf numFmtId="0" fontId="3" fillId="0" borderId="0" xfId="0" applyFont="1" applyFill="1" applyAlignment="1">
      <alignment horizontal="left" vertical="center" wrapText="1" indent="1"/>
    </xf>
    <xf numFmtId="166" fontId="0" fillId="0" borderId="0" xfId="0" applyNumberFormat="1" applyFill="1"/>
    <xf numFmtId="0" fontId="3" fillId="0" borderId="0" xfId="0" applyFont="1" applyFill="1" applyAlignment="1">
      <alignment horizontal="left" vertical="center" indent="1"/>
    </xf>
    <xf numFmtId="168" fontId="0" fillId="0" borderId="0" xfId="0" applyNumberFormat="1"/>
    <xf numFmtId="168" fontId="0" fillId="0" borderId="0" xfId="1" applyNumberFormat="1" applyFont="1"/>
    <xf numFmtId="0" fontId="2" fillId="0" borderId="0" xfId="0" applyFont="1"/>
    <xf numFmtId="167" fontId="3" fillId="0" borderId="0" xfId="0" applyNumberFormat="1" applyFont="1" applyAlignment="1">
      <alignment horizontal="right" vertical="center" wrapText="1"/>
    </xf>
    <xf numFmtId="0" fontId="3" fillId="0" borderId="0" xfId="22" applyFill="1">
      <alignment horizontal="justify" vertical="top" wrapText="1"/>
    </xf>
    <xf numFmtId="0" fontId="3" fillId="0" borderId="0" xfId="22" applyFill="1">
      <alignment horizontal="justify" vertical="top" wrapText="1"/>
    </xf>
    <xf numFmtId="166" fontId="0" fillId="4" borderId="0" xfId="2" applyFont="1" applyFill="1"/>
    <xf numFmtId="0" fontId="3" fillId="0" borderId="0" xfId="0" applyFont="1" applyAlignment="1">
      <alignment horizontal="center" vertical="top"/>
    </xf>
    <xf numFmtId="164" fontId="3" fillId="0" borderId="0" xfId="0" applyNumberFormat="1" applyFont="1" applyFill="1" applyAlignment="1">
      <alignment vertical="center"/>
    </xf>
    <xf numFmtId="165" fontId="13" fillId="0" borderId="0" xfId="0" applyNumberFormat="1" applyFont="1" applyFill="1" applyAlignment="1">
      <alignment vertical="center"/>
    </xf>
    <xf numFmtId="164" fontId="14" fillId="0" borderId="0" xfId="0" applyNumberFormat="1" applyFont="1" applyFill="1" applyAlignment="1">
      <alignment vertical="center"/>
    </xf>
    <xf numFmtId="0" fontId="3" fillId="0" borderId="0" xfId="0" applyFont="1" applyFill="1" applyAlignment="1">
      <alignment horizontal="center" vertical="center"/>
    </xf>
    <xf numFmtId="0" fontId="15" fillId="0" borderId="0" xfId="0" applyFont="1"/>
    <xf numFmtId="0" fontId="3" fillId="0" borderId="0" xfId="0" applyNumberFormat="1" applyFont="1" applyAlignment="1">
      <alignment horizontal="left" vertical="top" wrapText="1"/>
    </xf>
    <xf numFmtId="164" fontId="3" fillId="0" borderId="0" xfId="0" applyNumberFormat="1" applyFont="1" applyAlignment="1">
      <alignment horizontal="left" vertical="center" wrapText="1" indent="2"/>
    </xf>
    <xf numFmtId="165" fontId="3" fillId="0" borderId="0" xfId="0" applyNumberFormat="1" applyFont="1" applyAlignment="1">
      <alignment horizontal="left" vertical="center" wrapText="1" indent="2"/>
    </xf>
    <xf numFmtId="0" fontId="3" fillId="0" borderId="0" xfId="0" applyFont="1"/>
    <xf numFmtId="0" fontId="3" fillId="0" borderId="0" xfId="0" applyFont="1" applyFill="1" applyBorder="1" applyAlignment="1">
      <alignment horizontal="left" vertical="top" wrapText="1"/>
    </xf>
    <xf numFmtId="0" fontId="0" fillId="0" borderId="0" xfId="0" applyFill="1"/>
    <xf numFmtId="169" fontId="0" fillId="0" borderId="0" xfId="0" applyNumberFormat="1" applyFill="1"/>
    <xf numFmtId="167" fontId="0" fillId="0" borderId="0" xfId="1" applyFont="1" applyFill="1"/>
    <xf numFmtId="166" fontId="0" fillId="0" borderId="0" xfId="2" applyFont="1" applyFill="1"/>
    <xf numFmtId="170" fontId="0" fillId="0" borderId="0" xfId="3" applyNumberFormat="1" applyFont="1" applyFill="1"/>
    <xf numFmtId="169" fontId="5" fillId="0" borderId="0" xfId="0" applyNumberFormat="1" applyFont="1" applyFill="1"/>
    <xf numFmtId="167" fontId="0" fillId="0" borderId="0" xfId="0" applyNumberFormat="1" applyFill="1"/>
    <xf numFmtId="0" fontId="2" fillId="0" borderId="0" xfId="0" applyFont="1" applyFill="1"/>
    <xf numFmtId="0" fontId="3" fillId="0" borderId="0" xfId="22" applyFill="1">
      <alignment horizontal="justify" vertical="top" wrapText="1"/>
    </xf>
    <xf numFmtId="0" fontId="3" fillId="0" borderId="0" xfId="22" applyFill="1">
      <alignment horizontal="justify" vertical="top" wrapText="1"/>
    </xf>
    <xf numFmtId="1" fontId="0" fillId="0" borderId="0" xfId="0" applyNumberFormat="1"/>
    <xf numFmtId="166" fontId="3" fillId="0" borderId="0" xfId="2" applyFont="1" applyFill="1" applyAlignment="1">
      <alignment horizontal="justify" vertical="top" wrapText="1"/>
    </xf>
    <xf numFmtId="0" fontId="3" fillId="0" borderId="0" xfId="0" applyFont="1" applyFill="1" applyBorder="1" applyAlignment="1">
      <alignment horizontal="left" vertical="top" wrapText="1"/>
    </xf>
    <xf numFmtId="166" fontId="0" fillId="0" borderId="0" xfId="0" applyNumberFormat="1" applyAlignment="1">
      <alignment horizontal="center"/>
    </xf>
    <xf numFmtId="2" fontId="0" fillId="0" borderId="0" xfId="0" applyNumberFormat="1"/>
    <xf numFmtId="172" fontId="0" fillId="0" borderId="0" xfId="0" applyNumberFormat="1" applyAlignment="1">
      <alignment horizontal="center"/>
    </xf>
    <xf numFmtId="173" fontId="0" fillId="0" borderId="0" xfId="0" applyNumberFormat="1" applyAlignment="1">
      <alignment horizontal="center"/>
    </xf>
    <xf numFmtId="167" fontId="0" fillId="0" borderId="0" xfId="0" applyNumberFormat="1" applyAlignment="1">
      <alignment horizontal="center"/>
    </xf>
    <xf numFmtId="164" fontId="3" fillId="0" borderId="0" xfId="0" applyNumberFormat="1" applyFont="1"/>
    <xf numFmtId="0" fontId="3" fillId="0" borderId="0" xfId="22" applyFill="1" applyAlignment="1">
      <alignment horizontal="justify" vertical="top"/>
    </xf>
    <xf numFmtId="0" fontId="0" fillId="2" borderId="0" xfId="0" applyFill="1" applyAlignment="1">
      <alignment horizontal="left" vertical="top" wrapText="1"/>
    </xf>
    <xf numFmtId="0" fontId="3" fillId="0" borderId="0" xfId="22" applyFill="1">
      <alignment horizontal="justify" vertical="top" wrapText="1"/>
    </xf>
    <xf numFmtId="0" fontId="16" fillId="0" borderId="0" xfId="0" applyFont="1" applyFill="1" applyAlignment="1">
      <alignment horizontal="left" vertical="top" wrapText="1"/>
    </xf>
    <xf numFmtId="0" fontId="0" fillId="0" borderId="0" xfId="0" applyAlignment="1">
      <alignment horizontal="left" vertical="top" wrapText="1"/>
    </xf>
    <xf numFmtId="0" fontId="3" fillId="0" borderId="0" xfId="0" applyFont="1" applyAlignment="1">
      <alignment horizontal="justify"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justify" vertical="top" wrapText="1"/>
    </xf>
  </cellXfs>
  <cellStyles count="27">
    <cellStyle name="bsbody" xfId="5"/>
    <cellStyle name="bsfoot" xfId="6"/>
    <cellStyle name="bshead" xfId="7"/>
    <cellStyle name="Comma" xfId="1" builtinId="3"/>
    <cellStyle name="Currency" xfId="2" builtinId="4"/>
    <cellStyle name="GenJour#" xfId="8"/>
    <cellStyle name="GenJour1" xfId="9"/>
    <cellStyle name="GenJour2" xfId="10"/>
    <cellStyle name="GenJourBody" xfId="11"/>
    <cellStyle name="GenJourDate" xfId="12"/>
    <cellStyle name="GenJourDes" xfId="13"/>
    <cellStyle name="GenJourFoot" xfId="14"/>
    <cellStyle name="GenJourHead" xfId="15"/>
    <cellStyle name="LedgBody" xfId="16"/>
    <cellStyle name="ledgerwkbk" xfId="17"/>
    <cellStyle name="LedgGreen" xfId="18"/>
    <cellStyle name="LedgHead" xfId="19"/>
    <cellStyle name="LedgSide" xfId="20"/>
    <cellStyle name="LedgYellow" xfId="21"/>
    <cellStyle name="Normal" xfId="0" builtinId="0"/>
    <cellStyle name="Normal 2" xfId="4"/>
    <cellStyle name="Percent" xfId="3" builtinId="5"/>
    <cellStyle name="POA" xfId="22"/>
    <cellStyle name="POAanswer" xfId="23"/>
    <cellStyle name="POAhead" xfId="24"/>
    <cellStyle name="trialbody" xfId="25"/>
    <cellStyle name="trialhead"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workbookViewId="0">
      <selection activeCell="I14" sqref="I14"/>
    </sheetView>
  </sheetViews>
  <sheetFormatPr defaultColWidth="8.85546875" defaultRowHeight="15"/>
  <cols>
    <col min="2" max="2" width="16.140625" customWidth="1"/>
    <col min="14" max="14" width="12.28515625" bestFit="1" customWidth="1"/>
  </cols>
  <sheetData>
    <row r="1" spans="1:10">
      <c r="B1" t="s">
        <v>8</v>
      </c>
      <c r="E1" t="s">
        <v>7</v>
      </c>
      <c r="F1" s="2"/>
    </row>
    <row r="2" spans="1:10">
      <c r="A2" s="21" t="s">
        <v>73</v>
      </c>
    </row>
    <row r="4" spans="1:10">
      <c r="A4" t="s">
        <v>12</v>
      </c>
    </row>
    <row r="5" spans="1:10">
      <c r="A5" t="s">
        <v>9</v>
      </c>
    </row>
    <row r="6" spans="1:10">
      <c r="A6" t="s">
        <v>13</v>
      </c>
      <c r="J6" s="21" t="s">
        <v>74</v>
      </c>
    </row>
    <row r="7" spans="1:10">
      <c r="A7" t="s">
        <v>10</v>
      </c>
      <c r="I7" s="6">
        <f>60600/(250*600)</f>
        <v>0.40400000000000003</v>
      </c>
      <c r="J7" s="3" t="s">
        <v>43</v>
      </c>
    </row>
    <row r="8" spans="1:10">
      <c r="A8" t="s">
        <v>11</v>
      </c>
      <c r="I8" s="6">
        <f>149/250</f>
        <v>0.59599999999999997</v>
      </c>
      <c r="J8" s="3" t="s">
        <v>42</v>
      </c>
    </row>
    <row r="9" spans="1:10">
      <c r="J9" s="37"/>
    </row>
    <row r="10" spans="1:10">
      <c r="A10" s="2" t="s">
        <v>20</v>
      </c>
      <c r="B10" t="s">
        <v>14</v>
      </c>
      <c r="J10" s="44" t="s">
        <v>75</v>
      </c>
    </row>
    <row r="11" spans="1:10">
      <c r="A11" s="2"/>
      <c r="B11" t="s">
        <v>78</v>
      </c>
      <c r="D11">
        <f>60600/600</f>
        <v>101</v>
      </c>
      <c r="I11">
        <f>D11</f>
        <v>101</v>
      </c>
      <c r="J11" s="3" t="s">
        <v>41</v>
      </c>
    </row>
    <row r="12" spans="1:10">
      <c r="A12" s="2" t="s">
        <v>24</v>
      </c>
      <c r="B12" t="s">
        <v>16</v>
      </c>
      <c r="I12">
        <f>34950/600</f>
        <v>58.25</v>
      </c>
      <c r="J12" s="3" t="s">
        <v>39</v>
      </c>
    </row>
    <row r="13" spans="1:10">
      <c r="A13" s="2"/>
      <c r="B13" t="s">
        <v>79</v>
      </c>
      <c r="C13" s="47">
        <f>34950/(600-101)</f>
        <v>70.040080160320642</v>
      </c>
      <c r="D13" t="s">
        <v>80</v>
      </c>
      <c r="I13">
        <f>SUM(I11:I12)</f>
        <v>159.25</v>
      </c>
      <c r="J13" s="3" t="s">
        <v>40</v>
      </c>
    </row>
    <row r="14" spans="1:10">
      <c r="A14" s="2" t="s">
        <v>25</v>
      </c>
      <c r="B14" t="s">
        <v>15</v>
      </c>
      <c r="I14">
        <f>600-101</f>
        <v>499</v>
      </c>
      <c r="J14" s="3" t="s">
        <v>76</v>
      </c>
    </row>
    <row r="15" spans="1:10">
      <c r="A15" s="2"/>
      <c r="B15" t="s">
        <v>81</v>
      </c>
      <c r="D15" s="47">
        <f>(34950+10500)/(600-101)</f>
        <v>91.082164328657313</v>
      </c>
    </row>
    <row r="16" spans="1:10">
      <c r="B16" t="s">
        <v>17</v>
      </c>
    </row>
    <row r="20" spans="7:18">
      <c r="G20" s="37"/>
      <c r="H20" s="37"/>
      <c r="I20" s="37"/>
      <c r="J20" s="37"/>
      <c r="K20" s="37"/>
      <c r="L20" s="37"/>
      <c r="M20" s="37"/>
      <c r="N20" s="37"/>
      <c r="O20" s="37"/>
      <c r="P20" s="37"/>
      <c r="Q20" s="37"/>
      <c r="R20" s="37"/>
    </row>
    <row r="21" spans="7:18">
      <c r="G21" s="37"/>
      <c r="H21" s="37"/>
      <c r="I21" s="37"/>
      <c r="J21" s="37"/>
      <c r="K21" s="37"/>
      <c r="L21" s="37"/>
      <c r="M21" s="37"/>
      <c r="N21" s="38"/>
      <c r="O21" s="37"/>
      <c r="P21" s="39"/>
      <c r="Q21" s="37"/>
      <c r="R21" s="37"/>
    </row>
    <row r="22" spans="7:18" ht="17.25">
      <c r="G22" s="40"/>
      <c r="H22" s="37"/>
      <c r="I22" s="37"/>
      <c r="J22" s="37"/>
      <c r="K22" s="41"/>
      <c r="L22" s="37"/>
      <c r="M22" s="37"/>
      <c r="N22" s="42"/>
      <c r="O22" s="37"/>
      <c r="P22" s="37"/>
      <c r="Q22" s="37"/>
      <c r="R22" s="3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opLeftCell="A5" workbookViewId="0">
      <selection activeCell="B18" sqref="B18"/>
    </sheetView>
  </sheetViews>
  <sheetFormatPr defaultColWidth="8.85546875" defaultRowHeight="15"/>
  <cols>
    <col min="2" max="2" width="85.140625" customWidth="1"/>
    <col min="3" max="3" width="7.42578125" customWidth="1"/>
    <col min="4" max="4" width="6.42578125" customWidth="1"/>
    <col min="5" max="5" width="6" customWidth="1"/>
    <col min="9" max="9" width="14" customWidth="1"/>
  </cols>
  <sheetData>
    <row r="1" spans="1:3">
      <c r="A1" t="s">
        <v>2</v>
      </c>
      <c r="C1" t="s">
        <v>7</v>
      </c>
    </row>
    <row r="3" spans="1:3" ht="105">
      <c r="B3" s="1" t="s">
        <v>18</v>
      </c>
      <c r="C3" s="1"/>
    </row>
    <row r="6" spans="1:3">
      <c r="A6" s="2" t="s">
        <v>20</v>
      </c>
      <c r="B6" s="10" t="s">
        <v>19</v>
      </c>
    </row>
    <row r="7" spans="1:3">
      <c r="A7" s="2"/>
      <c r="B7" t="s">
        <v>82</v>
      </c>
    </row>
    <row r="8" spans="1:3">
      <c r="A8" s="2"/>
      <c r="B8" t="s">
        <v>83</v>
      </c>
    </row>
    <row r="9" spans="1:3">
      <c r="A9" s="2" t="s">
        <v>24</v>
      </c>
      <c r="B9" s="23" t="s">
        <v>21</v>
      </c>
    </row>
    <row r="10" spans="1:3">
      <c r="A10" s="2"/>
      <c r="B10" s="48" t="s">
        <v>84</v>
      </c>
    </row>
    <row r="11" spans="1:3">
      <c r="A11" s="2"/>
      <c r="B11" s="45" t="s">
        <v>85</v>
      </c>
    </row>
    <row r="12" spans="1:3" ht="25.5">
      <c r="A12" s="2" t="s">
        <v>25</v>
      </c>
      <c r="B12" s="24" t="s">
        <v>22</v>
      </c>
    </row>
    <row r="13" spans="1:3">
      <c r="A13" s="2"/>
      <c r="B13" s="45" t="s">
        <v>86</v>
      </c>
    </row>
    <row r="14" spans="1:3">
      <c r="A14" s="2"/>
      <c r="B14" s="45" t="s">
        <v>87</v>
      </c>
    </row>
    <row r="15" spans="1:3">
      <c r="A15" s="2" t="s">
        <v>26</v>
      </c>
      <c r="B15" t="s">
        <v>23</v>
      </c>
    </row>
    <row r="16" spans="1:3">
      <c r="A16" s="2"/>
      <c r="B16" s="46" t="s">
        <v>88</v>
      </c>
    </row>
    <row r="17" spans="1:2">
      <c r="A17" s="2"/>
      <c r="B17" s="46" t="s">
        <v>89</v>
      </c>
    </row>
    <row r="18" spans="1:2">
      <c r="A18" s="2"/>
    </row>
    <row r="19" spans="1:2">
      <c r="A19" s="2"/>
    </row>
    <row r="20" spans="1:2">
      <c r="A20" s="2"/>
    </row>
    <row r="21" spans="1:2">
      <c r="A21" s="2"/>
    </row>
    <row r="22" spans="1:2">
      <c r="A22" s="2"/>
    </row>
    <row r="23" spans="1:2">
      <c r="A23" s="2"/>
    </row>
    <row r="24" spans="1:2">
      <c r="A24" s="2"/>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26"/>
  <sheetViews>
    <sheetView topLeftCell="A13" workbookViewId="0">
      <selection activeCell="D23" sqref="D23:G26"/>
    </sheetView>
  </sheetViews>
  <sheetFormatPr defaultColWidth="8.85546875" defaultRowHeight="15"/>
  <cols>
    <col min="2" max="2" width="5" customWidth="1"/>
    <col min="3" max="3" width="66.42578125" customWidth="1"/>
    <col min="4" max="4" width="14.28515625" bestFit="1" customWidth="1"/>
    <col min="5" max="5" width="5.140625" customWidth="1"/>
    <col min="6" max="6" width="22.7109375" customWidth="1"/>
    <col min="7" max="7" width="15.28515625" bestFit="1" customWidth="1"/>
    <col min="8" max="8" width="18.7109375" bestFit="1" customWidth="1"/>
    <col min="11" max="11" width="15.28515625" bestFit="1" customWidth="1"/>
  </cols>
  <sheetData>
    <row r="1" spans="1:11">
      <c r="A1" t="s">
        <v>4</v>
      </c>
      <c r="C1" s="21" t="s">
        <v>47</v>
      </c>
      <c r="I1" s="21" t="s">
        <v>74</v>
      </c>
    </row>
    <row r="2" spans="1:11">
      <c r="H2" s="6"/>
      <c r="I2" s="3" t="s">
        <v>43</v>
      </c>
    </row>
    <row r="3" spans="1:11">
      <c r="C3" s="56" t="s">
        <v>27</v>
      </c>
      <c r="D3" s="56"/>
      <c r="E3" s="56"/>
      <c r="F3" s="56"/>
      <c r="H3" s="6"/>
      <c r="I3" s="3" t="s">
        <v>42</v>
      </c>
    </row>
    <row r="4" spans="1:11">
      <c r="C4" t="s">
        <v>28</v>
      </c>
      <c r="H4" s="6"/>
      <c r="I4" s="37"/>
    </row>
    <row r="5" spans="1:11">
      <c r="C5" s="4" t="s">
        <v>37</v>
      </c>
      <c r="D5" s="25">
        <v>125</v>
      </c>
      <c r="H5" s="6"/>
      <c r="I5" s="44" t="s">
        <v>75</v>
      </c>
    </row>
    <row r="6" spans="1:11">
      <c r="C6" s="12" t="s">
        <v>0</v>
      </c>
      <c r="D6" s="13">
        <v>12.5</v>
      </c>
      <c r="F6" t="s">
        <v>91</v>
      </c>
      <c r="G6" s="7">
        <f>125*400000</f>
        <v>50000000</v>
      </c>
      <c r="H6" s="40"/>
      <c r="I6" s="3" t="s">
        <v>41</v>
      </c>
    </row>
    <row r="7" spans="1:11">
      <c r="C7" s="12" t="s">
        <v>1</v>
      </c>
      <c r="D7" s="22">
        <v>6.25</v>
      </c>
      <c r="F7" t="s">
        <v>90</v>
      </c>
      <c r="G7" s="7">
        <f>D6+D7+D8+D10</f>
        <v>56.25</v>
      </c>
      <c r="H7" s="17"/>
      <c r="I7" s="3" t="s">
        <v>39</v>
      </c>
    </row>
    <row r="8" spans="1:11">
      <c r="C8" s="12" t="s">
        <v>29</v>
      </c>
      <c r="D8" s="22">
        <v>18.75</v>
      </c>
      <c r="G8" s="7">
        <f>G7*400000</f>
        <v>22500000</v>
      </c>
      <c r="H8" s="43"/>
      <c r="I8" s="3" t="s">
        <v>40</v>
      </c>
    </row>
    <row r="9" spans="1:11">
      <c r="C9" s="12" t="s">
        <v>30</v>
      </c>
      <c r="D9" s="22">
        <v>25</v>
      </c>
      <c r="F9" t="s">
        <v>92</v>
      </c>
      <c r="G9" s="50">
        <f>G6-G8</f>
        <v>27500000</v>
      </c>
      <c r="H9" s="17"/>
      <c r="I9" s="3" t="s">
        <v>76</v>
      </c>
    </row>
    <row r="10" spans="1:11">
      <c r="C10" s="12" t="s">
        <v>31</v>
      </c>
      <c r="D10" s="22">
        <v>18.75</v>
      </c>
      <c r="F10" s="7" t="s">
        <v>93</v>
      </c>
      <c r="G10">
        <f>G9/G6</f>
        <v>0.55000000000000004</v>
      </c>
      <c r="H10" s="17"/>
      <c r="I10" s="37"/>
    </row>
    <row r="11" spans="1:11">
      <c r="C11" s="12" t="s">
        <v>32</v>
      </c>
      <c r="D11" s="22">
        <v>4</v>
      </c>
      <c r="G11" s="9">
        <f>D17/G10</f>
        <v>21090909.09090909</v>
      </c>
    </row>
    <row r="12" spans="1:11">
      <c r="C12" s="14" t="s">
        <v>38</v>
      </c>
      <c r="D12" s="15">
        <f>SUM(D6:D11)</f>
        <v>85.25</v>
      </c>
    </row>
    <row r="13" spans="1:11">
      <c r="C13" s="16"/>
      <c r="D13" s="17"/>
      <c r="F13" s="20"/>
    </row>
    <row r="14" spans="1:11">
      <c r="C14" s="18" t="s">
        <v>44</v>
      </c>
      <c r="D14" s="17"/>
    </row>
    <row r="15" spans="1:11">
      <c r="C15" s="16"/>
      <c r="D15" s="17"/>
      <c r="H15" s="19"/>
      <c r="K15" s="20"/>
    </row>
    <row r="16" spans="1:11" ht="17.25">
      <c r="C16" s="12"/>
      <c r="D16" s="7"/>
      <c r="H16" s="8"/>
      <c r="K16" s="11"/>
    </row>
    <row r="17" spans="2:12">
      <c r="B17" s="2" t="s">
        <v>20</v>
      </c>
      <c r="C17" s="12" t="s">
        <v>45</v>
      </c>
      <c r="D17" s="5">
        <f>(D9+D11)*400000</f>
        <v>11600000</v>
      </c>
      <c r="F17" s="9">
        <f>100000*75</f>
        <v>7500000</v>
      </c>
      <c r="H17" s="20"/>
      <c r="K17" s="20"/>
    </row>
    <row r="18" spans="2:12">
      <c r="B18" s="2" t="s">
        <v>24</v>
      </c>
      <c r="C18" s="12" t="s">
        <v>33</v>
      </c>
      <c r="D18" s="5">
        <f>D17/0.55</f>
        <v>21090909.09090909</v>
      </c>
      <c r="F18" s="9"/>
      <c r="H18" s="20"/>
      <c r="K18" s="20"/>
    </row>
    <row r="19" spans="2:12">
      <c r="B19" s="2"/>
      <c r="F19" s="9"/>
      <c r="H19" s="20"/>
      <c r="K19" s="20"/>
      <c r="L19" t="s">
        <v>46</v>
      </c>
    </row>
    <row r="20" spans="2:12">
      <c r="B20" s="2"/>
      <c r="K20" s="20"/>
    </row>
    <row r="21" spans="2:12">
      <c r="B21" s="2" t="s">
        <v>25</v>
      </c>
      <c r="C21" t="s">
        <v>34</v>
      </c>
      <c r="K21" s="20"/>
    </row>
    <row r="22" spans="2:12">
      <c r="B22" s="2"/>
      <c r="C22" t="s">
        <v>48</v>
      </c>
      <c r="K22" s="20"/>
    </row>
    <row r="23" spans="2:12" ht="75" customHeight="1">
      <c r="C23" s="12" t="s">
        <v>35</v>
      </c>
      <c r="D23" s="57" t="s">
        <v>94</v>
      </c>
      <c r="E23" s="57"/>
      <c r="F23" s="57"/>
      <c r="G23" s="57"/>
      <c r="K23" s="20"/>
    </row>
    <row r="24" spans="2:12">
      <c r="C24" s="12" t="s">
        <v>36</v>
      </c>
      <c r="D24" s="57"/>
      <c r="E24" s="57"/>
      <c r="F24" s="57"/>
      <c r="G24" s="57"/>
    </row>
    <row r="25" spans="2:12" ht="17.25" customHeight="1">
      <c r="D25" s="57"/>
      <c r="E25" s="57"/>
      <c r="F25" s="57"/>
      <c r="G25" s="57"/>
    </row>
    <row r="26" spans="2:12">
      <c r="D26" s="57"/>
      <c r="E26" s="57"/>
      <c r="F26" s="57"/>
      <c r="G26" s="57"/>
    </row>
  </sheetData>
  <mergeCells count="2">
    <mergeCell ref="C3:F3"/>
    <mergeCell ref="D23:G26"/>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7"/>
  <sheetViews>
    <sheetView topLeftCell="B10" workbookViewId="0">
      <selection activeCell="C27" sqref="C27"/>
    </sheetView>
  </sheetViews>
  <sheetFormatPr defaultColWidth="8.85546875" defaultRowHeight="15"/>
  <cols>
    <col min="2" max="2" width="56.42578125" customWidth="1"/>
    <col min="3" max="3" width="19.42578125" customWidth="1"/>
    <col min="4" max="4" width="23.42578125" customWidth="1"/>
    <col min="5" max="5" width="21" customWidth="1"/>
    <col min="6" max="6" width="19.28515625" customWidth="1"/>
    <col min="7" max="7" width="16.7109375" customWidth="1"/>
    <col min="8" max="8" width="13" customWidth="1"/>
  </cols>
  <sheetData>
    <row r="1" spans="1:6">
      <c r="B1" t="s">
        <v>6</v>
      </c>
      <c r="C1" s="21" t="s">
        <v>61</v>
      </c>
    </row>
    <row r="2" spans="1:6">
      <c r="B2" t="s">
        <v>7</v>
      </c>
    </row>
    <row r="4" spans="1:6" ht="36" customHeight="1">
      <c r="B4" s="56" t="s">
        <v>49</v>
      </c>
      <c r="C4" s="56"/>
      <c r="D4" s="56"/>
      <c r="E4" s="56"/>
      <c r="F4" s="56"/>
    </row>
    <row r="6" spans="1:6">
      <c r="B6" s="26"/>
      <c r="C6" s="26" t="s">
        <v>3</v>
      </c>
      <c r="D6" s="26" t="s">
        <v>50</v>
      </c>
      <c r="E6" s="26" t="s">
        <v>51</v>
      </c>
      <c r="F6" s="26" t="s">
        <v>52</v>
      </c>
    </row>
    <row r="7" spans="1:6">
      <c r="B7" s="30" t="s">
        <v>53</v>
      </c>
      <c r="C7" s="27">
        <f>SUM(D7:F7)</f>
        <v>2600000</v>
      </c>
      <c r="D7" s="27">
        <v>1400000</v>
      </c>
      <c r="E7" s="27">
        <v>500000</v>
      </c>
      <c r="F7" s="27">
        <v>700000</v>
      </c>
    </row>
    <row r="8" spans="1:6">
      <c r="B8" s="30" t="s">
        <v>54</v>
      </c>
      <c r="C8" s="28">
        <f>SUM(D8:F8)</f>
        <v>1635000</v>
      </c>
      <c r="D8" s="28">
        <f>D7*0.7</f>
        <v>979999.99999999988</v>
      </c>
      <c r="E8" s="28">
        <f>E7*0.4</f>
        <v>200000</v>
      </c>
      <c r="F8" s="28">
        <f>F7*0.65</f>
        <v>455000</v>
      </c>
    </row>
    <row r="9" spans="1:6">
      <c r="B9" s="30" t="s">
        <v>55</v>
      </c>
      <c r="C9" s="27">
        <f>SUM(D9:F9)</f>
        <v>965000.00000000012</v>
      </c>
      <c r="D9" s="27">
        <f>D7-D8</f>
        <v>420000.00000000012</v>
      </c>
      <c r="E9" s="27">
        <f>E7-E8</f>
        <v>300000</v>
      </c>
      <c r="F9" s="27">
        <f>F7-F8</f>
        <v>245000</v>
      </c>
    </row>
    <row r="10" spans="1:6">
      <c r="B10" s="30" t="s">
        <v>56</v>
      </c>
      <c r="C10" s="28">
        <f>SUM(D10:F10)</f>
        <v>900000</v>
      </c>
      <c r="D10" s="28">
        <v>300000</v>
      </c>
      <c r="E10" s="28">
        <v>300000</v>
      </c>
      <c r="F10" s="28">
        <v>300000</v>
      </c>
    </row>
    <row r="11" spans="1:6">
      <c r="B11" s="30" t="s">
        <v>57</v>
      </c>
      <c r="C11" s="29">
        <f>SUM(D11:F11)</f>
        <v>65000.000000000116</v>
      </c>
      <c r="D11" s="29">
        <f>D9-D10</f>
        <v>120000.00000000012</v>
      </c>
      <c r="E11" s="29">
        <f>E9-E10</f>
        <v>0</v>
      </c>
      <c r="F11" s="29">
        <f>F9-F10</f>
        <v>-55000</v>
      </c>
    </row>
    <row r="14" spans="1:6" ht="30.75" customHeight="1">
      <c r="B14" s="58" t="s">
        <v>58</v>
      </c>
      <c r="C14" s="58"/>
      <c r="D14" s="58"/>
      <c r="E14" s="58"/>
      <c r="F14" s="58"/>
    </row>
    <row r="16" spans="1:6" ht="15.75">
      <c r="A16" s="2" t="s">
        <v>20</v>
      </c>
      <c r="B16" s="59" t="s">
        <v>59</v>
      </c>
      <c r="C16" s="59"/>
      <c r="D16" s="59"/>
      <c r="E16" s="59"/>
      <c r="F16" s="59"/>
    </row>
    <row r="17" spans="2:6">
      <c r="B17" s="31" t="s">
        <v>60</v>
      </c>
      <c r="C17" s="31"/>
      <c r="D17" s="31"/>
      <c r="E17" s="31"/>
      <c r="F17" s="31"/>
    </row>
    <row r="20" spans="2:6">
      <c r="B20" s="26"/>
      <c r="C20" s="26" t="s">
        <v>3</v>
      </c>
      <c r="D20" s="26" t="s">
        <v>50</v>
      </c>
      <c r="E20" s="26" t="s">
        <v>51</v>
      </c>
    </row>
    <row r="21" spans="2:6">
      <c r="B21" s="30" t="s">
        <v>53</v>
      </c>
      <c r="C21" s="27">
        <f>SUM(D21:F21)</f>
        <v>2050000</v>
      </c>
      <c r="D21" s="27">
        <v>1400000</v>
      </c>
      <c r="E21" s="27">
        <f>500000*1.3</f>
        <v>650000</v>
      </c>
    </row>
    <row r="22" spans="2:6">
      <c r="B22" s="30" t="s">
        <v>54</v>
      </c>
      <c r="C22" s="28">
        <f>SUM(D22:F22)</f>
        <v>1240000</v>
      </c>
      <c r="D22" s="28">
        <f>D21*0.7</f>
        <v>979999.99999999988</v>
      </c>
      <c r="E22" s="28">
        <f>E21*0.4</f>
        <v>260000</v>
      </c>
    </row>
    <row r="23" spans="2:6">
      <c r="B23" s="30" t="s">
        <v>55</v>
      </c>
      <c r="C23" s="27">
        <f>SUM(D23:F23)</f>
        <v>810000.00000000012</v>
      </c>
      <c r="D23" s="27">
        <f>D21-D22</f>
        <v>420000.00000000012</v>
      </c>
      <c r="E23" s="27">
        <f>E21-E22</f>
        <v>390000</v>
      </c>
    </row>
    <row r="24" spans="2:6">
      <c r="B24" s="30" t="s">
        <v>56</v>
      </c>
      <c r="C24" s="28">
        <f>SUM(D24:F24)</f>
        <v>600000</v>
      </c>
      <c r="D24" s="28">
        <v>300000</v>
      </c>
      <c r="E24" s="28">
        <v>300000</v>
      </c>
    </row>
    <row r="25" spans="2:6">
      <c r="B25" s="30" t="s">
        <v>57</v>
      </c>
      <c r="C25" s="29">
        <f>SUM(D25:F25)</f>
        <v>210000.00000000012</v>
      </c>
      <c r="D25" s="29">
        <f>D23-D24</f>
        <v>120000.00000000012</v>
      </c>
      <c r="E25" s="29">
        <f>E23-E24</f>
        <v>90000</v>
      </c>
    </row>
    <row r="27" spans="2:6">
      <c r="C27" t="s">
        <v>95</v>
      </c>
    </row>
  </sheetData>
  <mergeCells count="3">
    <mergeCell ref="B4:F4"/>
    <mergeCell ref="B14:F14"/>
    <mergeCell ref="B16:F16"/>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6"/>
  <sheetViews>
    <sheetView tabSelected="1" topLeftCell="C14" workbookViewId="0">
      <selection activeCell="C33" sqref="C33:E36"/>
    </sheetView>
  </sheetViews>
  <sheetFormatPr defaultColWidth="8.85546875" defaultRowHeight="15"/>
  <cols>
    <col min="2" max="2" width="88.7109375" customWidth="1"/>
    <col min="3" max="3" width="19.42578125" customWidth="1"/>
    <col min="4" max="4" width="15.28515625" customWidth="1"/>
    <col min="5" max="5" width="16.7109375" style="2" customWidth="1"/>
    <col min="6" max="6" width="8.85546875" style="2" customWidth="1"/>
    <col min="7" max="7" width="11.140625" customWidth="1"/>
  </cols>
  <sheetData>
    <row r="1" spans="1:5">
      <c r="B1" t="s">
        <v>5</v>
      </c>
      <c r="D1" s="21"/>
    </row>
    <row r="2" spans="1:5">
      <c r="B2" t="s">
        <v>7</v>
      </c>
    </row>
    <row r="3" spans="1:5">
      <c r="A3" s="21" t="s">
        <v>68</v>
      </c>
      <c r="B3" s="21" t="s">
        <v>64</v>
      </c>
    </row>
    <row r="4" spans="1:5" ht="60" customHeight="1">
      <c r="B4" s="58" t="s">
        <v>62</v>
      </c>
      <c r="C4" s="58"/>
    </row>
    <row r="5" spans="1:5">
      <c r="A5" s="2" t="s">
        <v>20</v>
      </c>
      <c r="B5" s="32" t="s">
        <v>63</v>
      </c>
    </row>
    <row r="6" spans="1:5">
      <c r="B6" s="51">
        <f>280824/66667</f>
        <v>4.212338938305308</v>
      </c>
      <c r="C6" t="s">
        <v>96</v>
      </c>
    </row>
    <row r="7" spans="1:5">
      <c r="A7" s="21" t="s">
        <v>67</v>
      </c>
      <c r="B7" s="21" t="s">
        <v>65</v>
      </c>
    </row>
    <row r="8" spans="1:5" ht="66" customHeight="1">
      <c r="B8" s="58" t="s">
        <v>66</v>
      </c>
      <c r="C8" s="58"/>
      <c r="D8" s="58"/>
      <c r="E8" s="58"/>
    </row>
    <row r="9" spans="1:5">
      <c r="C9" s="12" t="s">
        <v>0</v>
      </c>
      <c r="D9" s="33">
        <v>50000000</v>
      </c>
    </row>
    <row r="10" spans="1:5">
      <c r="C10" s="12" t="s">
        <v>1</v>
      </c>
      <c r="D10" s="34">
        <v>80000000</v>
      </c>
    </row>
    <row r="11" spans="1:5" ht="35.25" customHeight="1">
      <c r="C11" s="12" t="s">
        <v>29</v>
      </c>
      <c r="D11" s="34">
        <v>16000000</v>
      </c>
    </row>
    <row r="12" spans="1:5" ht="30" customHeight="1">
      <c r="C12" s="12" t="s">
        <v>30</v>
      </c>
      <c r="D12" s="34">
        <v>35000000</v>
      </c>
    </row>
    <row r="14" spans="1:5" ht="27.75" customHeight="1">
      <c r="B14" s="61" t="s">
        <v>69</v>
      </c>
      <c r="C14" s="61"/>
      <c r="D14" s="61"/>
      <c r="E14" s="61"/>
    </row>
    <row r="15" spans="1:5">
      <c r="A15" s="2" t="s">
        <v>20</v>
      </c>
      <c r="B15" s="62" t="s">
        <v>72</v>
      </c>
      <c r="C15" s="62"/>
      <c r="D15" s="35"/>
    </row>
    <row r="16" spans="1:5">
      <c r="A16" s="2"/>
      <c r="B16" s="49"/>
      <c r="C16" s="49"/>
      <c r="D16" s="35" t="s">
        <v>97</v>
      </c>
      <c r="E16" s="2" t="s">
        <v>98</v>
      </c>
    </row>
    <row r="17" spans="1:5">
      <c r="A17" s="2"/>
      <c r="B17" s="49"/>
      <c r="C17" s="12" t="s">
        <v>0</v>
      </c>
      <c r="D17" s="33">
        <v>50000000</v>
      </c>
      <c r="E17" s="52">
        <f>D17*0.8</f>
        <v>40000000</v>
      </c>
    </row>
    <row r="18" spans="1:5">
      <c r="A18" s="2"/>
      <c r="B18" s="49"/>
      <c r="C18" s="12" t="s">
        <v>1</v>
      </c>
      <c r="D18" s="34">
        <v>80000000</v>
      </c>
      <c r="E18" s="53">
        <f>D18*0.7</f>
        <v>56000000</v>
      </c>
    </row>
    <row r="19" spans="1:5" ht="25.5">
      <c r="A19" s="2"/>
      <c r="B19" s="49"/>
      <c r="C19" s="12" t="s">
        <v>29</v>
      </c>
      <c r="D19" s="34">
        <v>16000000</v>
      </c>
      <c r="E19" s="54">
        <f>D19*0.75</f>
        <v>12000000</v>
      </c>
    </row>
    <row r="20" spans="1:5" ht="25.5">
      <c r="A20" s="2"/>
      <c r="B20" s="49"/>
      <c r="C20" s="12" t="s">
        <v>30</v>
      </c>
      <c r="D20" s="34">
        <v>35000000</v>
      </c>
    </row>
    <row r="21" spans="1:5">
      <c r="A21" s="2"/>
      <c r="B21" s="49"/>
      <c r="C21" s="49" t="s">
        <v>99</v>
      </c>
      <c r="D21" s="35">
        <v>0</v>
      </c>
      <c r="E21" s="2">
        <f>90*500000</f>
        <v>45000000</v>
      </c>
    </row>
    <row r="22" spans="1:5">
      <c r="A22" s="2"/>
      <c r="B22" s="49"/>
      <c r="C22" s="49" t="s">
        <v>100</v>
      </c>
      <c r="D22" s="55">
        <f>SUM(D17:D21)</f>
        <v>181000000</v>
      </c>
      <c r="E22" s="55">
        <f>SUM(E17:E21)</f>
        <v>153000000</v>
      </c>
    </row>
    <row r="23" spans="1:5">
      <c r="A23" s="2"/>
      <c r="B23" s="49"/>
      <c r="C23" s="49"/>
      <c r="D23" s="35"/>
    </row>
    <row r="24" spans="1:5">
      <c r="A24" s="2"/>
      <c r="B24" s="36"/>
      <c r="C24" s="62" t="s">
        <v>101</v>
      </c>
      <c r="D24" s="62"/>
      <c r="E24" s="62"/>
    </row>
    <row r="25" spans="1:5">
      <c r="A25" s="2"/>
      <c r="B25" s="49"/>
      <c r="C25" s="62"/>
      <c r="D25" s="62"/>
      <c r="E25" s="62"/>
    </row>
    <row r="26" spans="1:5">
      <c r="A26" s="2"/>
      <c r="B26" s="49"/>
      <c r="C26" s="49"/>
      <c r="D26" s="35"/>
    </row>
    <row r="27" spans="1:5" ht="28.5" customHeight="1">
      <c r="A27" s="2" t="s">
        <v>24</v>
      </c>
      <c r="B27" s="63" t="s">
        <v>70</v>
      </c>
      <c r="C27" s="63"/>
      <c r="D27" s="63"/>
    </row>
    <row r="28" spans="1:5">
      <c r="B28" t="s">
        <v>71</v>
      </c>
      <c r="C28" s="60" t="s">
        <v>102</v>
      </c>
      <c r="D28" s="60"/>
      <c r="E28" s="60"/>
    </row>
    <row r="29" spans="1:5">
      <c r="C29" s="60"/>
      <c r="D29" s="60"/>
      <c r="E29" s="60"/>
    </row>
    <row r="30" spans="1:5">
      <c r="C30" s="60"/>
      <c r="D30" s="60"/>
      <c r="E30" s="60"/>
    </row>
    <row r="31" spans="1:5">
      <c r="C31" s="60"/>
      <c r="D31" s="60"/>
      <c r="E31" s="60"/>
    </row>
    <row r="32" spans="1:5">
      <c r="A32" s="2" t="s">
        <v>25</v>
      </c>
      <c r="B32" t="s">
        <v>77</v>
      </c>
    </row>
    <row r="33" spans="3:5">
      <c r="C33" s="60" t="s">
        <v>103</v>
      </c>
      <c r="D33" s="60"/>
      <c r="E33" s="60"/>
    </row>
    <row r="34" spans="3:5">
      <c r="C34" s="60"/>
      <c r="D34" s="60"/>
      <c r="E34" s="60"/>
    </row>
    <row r="35" spans="3:5">
      <c r="C35" s="60"/>
      <c r="D35" s="60"/>
      <c r="E35" s="60"/>
    </row>
    <row r="36" spans="3:5">
      <c r="C36" s="60"/>
      <c r="D36" s="60"/>
      <c r="E36" s="60"/>
    </row>
  </sheetData>
  <mergeCells count="8">
    <mergeCell ref="C28:E31"/>
    <mergeCell ref="C33:E36"/>
    <mergeCell ref="B4:C4"/>
    <mergeCell ref="B8:E8"/>
    <mergeCell ref="B14:E14"/>
    <mergeCell ref="B15:C15"/>
    <mergeCell ref="B27:D27"/>
    <mergeCell ref="C24:E2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Exercise 1</vt:lpstr>
      <vt:lpstr>Exercise 2</vt:lpstr>
      <vt:lpstr>Exercise 3</vt:lpstr>
      <vt:lpstr>Exercise 4</vt:lpstr>
      <vt:lpstr>Exercise 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Simon</cp:lastModifiedBy>
  <dcterms:created xsi:type="dcterms:W3CDTF">2016-03-13T15:06:52Z</dcterms:created>
  <dcterms:modified xsi:type="dcterms:W3CDTF">2018-10-05T16:10:17Z</dcterms:modified>
</cp:coreProperties>
</file>